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tomek\Desktop\tensile-tester\"/>
    </mc:Choice>
  </mc:AlternateContent>
  <xr:revisionPtr revIDLastSave="0" documentId="13_ncr:1_{0618D208-3313-4B5D-99DE-5BD95149CF0D}" xr6:coauthVersionLast="47" xr6:coauthVersionMax="47" xr10:uidLastSave="{00000000-0000-0000-0000-000000000000}"/>
  <bookViews>
    <workbookView xWindow="-120" yWindow="-120" windowWidth="29040" windowHeight="17640" activeTab="1" xr2:uid="{81EA39CF-4060-4AAC-868F-B95EAB252377}"/>
  </bookViews>
  <sheets>
    <sheet name="BOM" sheetId="2" r:id="rId1"/>
    <sheet name="CALCS" sheetId="1" r:id="rId2"/>
    <sheet name="NEMA17" sheetId="6" r:id="rId3"/>
    <sheet name="SFU1204+Hardware" sheetId="3" r:id="rId4"/>
    <sheet name="Load cell" sheetId="4" r:id="rId5"/>
    <sheet name="Limit switches" sheetId="7" r:id="rId6"/>
    <sheet name="Sheet1" sheetId="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7" i="2" l="1"/>
  <c r="C30" i="1"/>
  <c r="C5" i="1"/>
  <c r="C14" i="1" s="1"/>
  <c r="C42" i="1"/>
  <c r="C43" i="1" s="1"/>
  <c r="F9" i="2"/>
  <c r="F8" i="2"/>
  <c r="F6" i="2"/>
  <c r="F5" i="2"/>
  <c r="C4" i="1"/>
  <c r="C20" i="1" s="1"/>
  <c r="C22" i="1" s="1"/>
  <c r="C44" i="1" l="1"/>
  <c r="C31" i="1"/>
  <c r="C33" i="1" s="1"/>
  <c r="C15" i="1"/>
  <c r="D51" i="1"/>
  <c r="C51" i="1"/>
  <c r="C10" i="1"/>
  <c r="F19" i="2"/>
  <c r="C56" i="1" l="1"/>
  <c r="C45" i="1"/>
  <c r="C16" i="1"/>
  <c r="C28" i="1"/>
  <c r="D15" i="1"/>
  <c r="C29" i="1"/>
  <c r="C55" i="1" l="1"/>
  <c r="C54" i="1"/>
  <c r="C17" i="1"/>
  <c r="D17" i="1" s="1"/>
  <c r="D16" i="1"/>
</calcChain>
</file>

<file path=xl/sharedStrings.xml><?xml version="1.0" encoding="utf-8"?>
<sst xmlns="http://schemas.openxmlformats.org/spreadsheetml/2006/main" count="99" uniqueCount="83">
  <si>
    <t>Nm</t>
  </si>
  <si>
    <t>m</t>
  </si>
  <si>
    <t>rpm</t>
  </si>
  <si>
    <t>N</t>
  </si>
  <si>
    <t>kg</t>
  </si>
  <si>
    <t>lb</t>
  </si>
  <si>
    <t>Limit holding force</t>
  </si>
  <si>
    <t>-</t>
  </si>
  <si>
    <t>Max speed</t>
  </si>
  <si>
    <t>mm/s</t>
  </si>
  <si>
    <t>qty</t>
  </si>
  <si>
    <t>subtotal</t>
  </si>
  <si>
    <t>total</t>
  </si>
  <si>
    <t>TOTAL</t>
  </si>
  <si>
    <t>Gear Ratio</t>
  </si>
  <si>
    <t>https://www.amazon.com/HiLetgo-KW12-3-Roller-Switch-Normally/dp/B07X142VGC</t>
  </si>
  <si>
    <t>Limit switches</t>
  </si>
  <si>
    <t>Max motor RPM</t>
  </si>
  <si>
    <t>https://www.amazon.com/dp/B00QEUFRXK?psc=1&amp;smid=AWQBCGWISS7BL</t>
  </si>
  <si>
    <t>Lead pitch</t>
  </si>
  <si>
    <t>E</t>
  </si>
  <si>
    <t>Pa</t>
  </si>
  <si>
    <t>L</t>
  </si>
  <si>
    <t>D</t>
  </si>
  <si>
    <t>I</t>
  </si>
  <si>
    <t>m^4</t>
  </si>
  <si>
    <t>k</t>
  </si>
  <si>
    <t>fix-fix</t>
  </si>
  <si>
    <t>free-free</t>
  </si>
  <si>
    <t>Pcr</t>
  </si>
  <si>
    <t>Screw, Stepper and Gearbox sizing</t>
  </si>
  <si>
    <t>https://www.amazon.com/ANWOK-SFU1204-Machining-BallScrew-Supportsfor/dp/B09BR414X7/?th=1</t>
  </si>
  <si>
    <t>400mm SFU1204 set</t>
  </si>
  <si>
    <t>NEMA17 Stepper + 19:1 Gearbox</t>
  </si>
  <si>
    <t>Steps per rev</t>
  </si>
  <si>
    <t>mm</t>
  </si>
  <si>
    <t>PETG E</t>
  </si>
  <si>
    <t>Ftu</t>
  </si>
  <si>
    <t>Fty</t>
  </si>
  <si>
    <t>A crit yield</t>
  </si>
  <si>
    <t>A crit ultimate</t>
  </si>
  <si>
    <t>mm^2</t>
  </si>
  <si>
    <t>super conservative, 250mm more likely with load cell at max travel</t>
  </si>
  <si>
    <t>https://www.omc-stepperonline.com/nema-17-stepper-motor-bipolar-l-48mm-w-gear-ratio-19-1-planetary-gearbox-17hs19-1684s-pg19</t>
  </si>
  <si>
    <t>Gearbox efficiency</t>
  </si>
  <si>
    <t>Ball screw Efficiency</t>
  </si>
  <si>
    <t>Geared Torque @ screw</t>
  </si>
  <si>
    <t>Force calcs</t>
  </si>
  <si>
    <t>1 stepper</t>
  </si>
  <si>
    <t>2 steppers</t>
  </si>
  <si>
    <t>Ungeared torque @ stepper</t>
  </si>
  <si>
    <t>Geared distance per step</t>
  </si>
  <si>
    <t>Gauge length</t>
  </si>
  <si>
    <t>Microstrain per step</t>
  </si>
  <si>
    <t>Microstrain at yield</t>
  </si>
  <si>
    <t>Steps to yield</t>
  </si>
  <si>
    <t>Steps per sec</t>
  </si>
  <si>
    <t>steps/s</t>
  </si>
  <si>
    <t>steps</t>
  </si>
  <si>
    <t>ms</t>
  </si>
  <si>
    <t>ms/step</t>
  </si>
  <si>
    <t>steps/rev</t>
  </si>
  <si>
    <t>s</t>
  </si>
  <si>
    <t>A</t>
  </si>
  <si>
    <t>m^2</t>
  </si>
  <si>
    <t>3mm mesh</t>
  </si>
  <si>
    <t>2mm mesh</t>
  </si>
  <si>
    <t>sigma_axial</t>
  </si>
  <si>
    <t>Coupon stress example</t>
  </si>
  <si>
    <t>Coupon step size strain example</t>
  </si>
  <si>
    <t>SFU1204 capabilities</t>
  </si>
  <si>
    <t>FTY</t>
  </si>
  <si>
    <t>FTU</t>
  </si>
  <si>
    <t>MS y</t>
  </si>
  <si>
    <t>MS u</t>
  </si>
  <si>
    <t>MS buck</t>
  </si>
  <si>
    <t>2000kg load cell</t>
  </si>
  <si>
    <t>https://www.amazon.com/Portable-High-Precision-Pressure-Tension-Weighing/dp/B077YHFCX4</t>
  </si>
  <si>
    <t>Purchased?</t>
  </si>
  <si>
    <t>Y</t>
  </si>
  <si>
    <t>B6600 Stepper Driver</t>
  </si>
  <si>
    <t>https://www.amazon.com/dp/B0BZYX7Z4Z</t>
  </si>
  <si>
    <t>Time to Yield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</si>
</sst>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_(* #,##0_);_(* \(#,##0\);_(* &quot;-&quot;??_);_(@_)"/>
    <numFmt numFmtId="172" formatCode="0.0"/>
  </numFmts>
  <fonts count="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4"/>
      </patternFill>
    </fill>
  </fills>
  <borders count="3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8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4" fillId="2" borderId="1" applyNumberFormat="0" applyAlignment="0" applyProtection="0"/>
    <xf numFmtId="0" fontId="5" fillId="3" borderId="2" applyNumberFormat="0" applyAlignment="0" applyProtection="0"/>
    <xf numFmtId="0" fontId="7" fillId="0" borderId="0" applyNumberFormat="0" applyFill="0" applyBorder="0" applyAlignment="0" applyProtection="0"/>
    <xf numFmtId="0" fontId="8" fillId="4" borderId="0" applyNumberFormat="0" applyBorder="0" applyAlignment="0" applyProtection="0"/>
  </cellStyleXfs>
  <cellXfs count="26">
    <xf numFmtId="0" fontId="0" fillId="0" borderId="0" xfId="0"/>
    <xf numFmtId="0" fontId="0" fillId="0" borderId="0" xfId="0" quotePrefix="1"/>
    <xf numFmtId="164" fontId="0" fillId="0" borderId="0" xfId="1" applyNumberFormat="1" applyFont="1"/>
    <xf numFmtId="0" fontId="2" fillId="0" borderId="0" xfId="3"/>
    <xf numFmtId="43" fontId="0" fillId="0" borderId="0" xfId="0" applyNumberFormat="1"/>
    <xf numFmtId="11" fontId="0" fillId="0" borderId="0" xfId="0" applyNumberFormat="1"/>
    <xf numFmtId="1" fontId="0" fillId="0" borderId="0" xfId="0" applyNumberFormat="1"/>
    <xf numFmtId="0" fontId="3" fillId="0" borderId="0" xfId="0" applyFont="1"/>
    <xf numFmtId="43" fontId="0" fillId="0" borderId="0" xfId="2" applyNumberFormat="1" applyFont="1"/>
    <xf numFmtId="0" fontId="0" fillId="0" borderId="0" xfId="1" applyNumberFormat="1" applyFont="1"/>
    <xf numFmtId="48" fontId="0" fillId="0" borderId="0" xfId="0" applyNumberFormat="1"/>
    <xf numFmtId="0" fontId="0" fillId="0" borderId="0" xfId="0" applyFont="1"/>
    <xf numFmtId="2" fontId="0" fillId="0" borderId="0" xfId="0" applyNumberFormat="1" applyFont="1"/>
    <xf numFmtId="0" fontId="4" fillId="2" borderId="1" xfId="4"/>
    <xf numFmtId="0" fontId="4" fillId="2" borderId="1" xfId="4" applyNumberFormat="1" applyAlignment="1"/>
    <xf numFmtId="172" fontId="5" fillId="3" borderId="2" xfId="5" applyNumberFormat="1"/>
    <xf numFmtId="0" fontId="4" fillId="2" borderId="1" xfId="4" applyAlignment="1">
      <alignment horizontal="center"/>
    </xf>
    <xf numFmtId="2" fontId="5" fillId="3" borderId="2" xfId="5" applyNumberFormat="1" applyAlignment="1">
      <alignment horizontal="center"/>
    </xf>
    <xf numFmtId="164" fontId="5" fillId="3" borderId="2" xfId="5" applyNumberFormat="1"/>
    <xf numFmtId="0" fontId="5" fillId="3" borderId="2" xfId="5"/>
    <xf numFmtId="1" fontId="5" fillId="3" borderId="2" xfId="5" applyNumberFormat="1"/>
    <xf numFmtId="11" fontId="4" fillId="2" borderId="1" xfId="4" applyNumberFormat="1"/>
    <xf numFmtId="0" fontId="8" fillId="4" borderId="0" xfId="7"/>
    <xf numFmtId="0" fontId="7" fillId="0" borderId="0" xfId="6"/>
    <xf numFmtId="0" fontId="7" fillId="0" borderId="0" xfId="6" quotePrefix="1"/>
    <xf numFmtId="0" fontId="6" fillId="4" borderId="0" xfId="7" applyFont="1"/>
  </cellXfs>
  <cellStyles count="8">
    <cellStyle name="Accent1" xfId="7" builtinId="29"/>
    <cellStyle name="Comma" xfId="1" builtinId="3"/>
    <cellStyle name="Explanatory Text" xfId="6" builtinId="53"/>
    <cellStyle name="Hyperlink" xfId="3" builtinId="8"/>
    <cellStyle name="Input" xfId="4" builtinId="20"/>
    <cellStyle name="Normal" xfId="0" builtinId="0"/>
    <cellStyle name="Output" xfId="5" builtinId="21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e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jpeg"/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190500</xdr:colOff>
      <xdr:row>10</xdr:row>
      <xdr:rowOff>19050</xdr:rowOff>
    </xdr:from>
    <xdr:to>
      <xdr:col>23</xdr:col>
      <xdr:colOff>475221</xdr:colOff>
      <xdr:row>21</xdr:row>
      <xdr:rowOff>148327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6338B3-B72A-430F-A8D8-06BEDAECF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15575" y="1924050"/>
          <a:ext cx="5771121" cy="222477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40</xdr:row>
      <xdr:rowOff>0</xdr:rowOff>
    </xdr:from>
    <xdr:to>
      <xdr:col>18</xdr:col>
      <xdr:colOff>9782</xdr:colOff>
      <xdr:row>50</xdr:row>
      <xdr:rowOff>28845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785106-1E46-F67A-0AFC-0392C0127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34675" y="8191500"/>
          <a:ext cx="1838582" cy="193384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40</xdr:row>
      <xdr:rowOff>0</xdr:rowOff>
    </xdr:from>
    <xdr:to>
      <xdr:col>14</xdr:col>
      <xdr:colOff>9782</xdr:colOff>
      <xdr:row>50</xdr:row>
      <xdr:rowOff>28845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F754FF0-62FE-44C8-A5C4-DA10015E5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96275" y="8191500"/>
          <a:ext cx="1838582" cy="193384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13</xdr:col>
      <xdr:colOff>133350</xdr:colOff>
      <xdr:row>30</xdr:row>
      <xdr:rowOff>176791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E0E77F0-226A-4B68-B2E1-93C15914D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67475" y="381000"/>
          <a:ext cx="3181350" cy="55107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0</xdr:rowOff>
    </xdr:from>
    <xdr:to>
      <xdr:col>16</xdr:col>
      <xdr:colOff>495300</xdr:colOff>
      <xdr:row>25</xdr:row>
      <xdr:rowOff>0</xdr:rowOff>
    </xdr:to>
    <xdr:pic>
      <xdr:nvPicPr>
        <xdr:cNvPr id="2" name="Picture 1" descr="vertical plotter -wiring the tb6600 - Programming - Arduino Forum">
          <a:extLst>
            <a:ext uri="{FF2B5EF4-FFF2-40B4-BE49-F238E27FC236}">
              <a16:creationId xmlns:a16="http://schemas.microsoft.com/office/drawing/2014/main" id="{83FF9138-F8CD-10A9-0B07-11B769B54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5981700" cy="476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190499</xdr:rowOff>
    </xdr:from>
    <xdr:to>
      <xdr:col>13</xdr:col>
      <xdr:colOff>142875</xdr:colOff>
      <xdr:row>39</xdr:row>
      <xdr:rowOff>61038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32EE7B0-EC75-60ED-724B-8782389577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499"/>
          <a:ext cx="8067675" cy="27280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5</xdr:col>
      <xdr:colOff>514351</xdr:colOff>
      <xdr:row>17</xdr:row>
      <xdr:rowOff>51373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A27B5A-BE8F-1B37-6AC2-F0EA38CC1D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90500"/>
          <a:ext cx="3562350" cy="3099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371475</xdr:colOff>
      <xdr:row>0</xdr:row>
      <xdr:rowOff>0</xdr:rowOff>
    </xdr:from>
    <xdr:to>
      <xdr:col>22</xdr:col>
      <xdr:colOff>545421</xdr:colOff>
      <xdr:row>22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AA2D79-612D-7A34-7340-36EEEC04D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6675" y="0"/>
          <a:ext cx="6269946" cy="4191000"/>
        </a:xfrm>
        <a:prstGeom prst="rect">
          <a:avLst/>
        </a:prstGeom>
      </xdr:spPr>
    </xdr:pic>
    <xdr:clientData/>
  </xdr:twoCellAnchor>
  <xdr:twoCellAnchor editAs="oneCell">
    <xdr:from>
      <xdr:col>12</xdr:col>
      <xdr:colOff>485775</xdr:colOff>
      <xdr:row>22</xdr:row>
      <xdr:rowOff>57150</xdr:rowOff>
    </xdr:from>
    <xdr:to>
      <xdr:col>21</xdr:col>
      <xdr:colOff>363981</xdr:colOff>
      <xdr:row>44</xdr:row>
      <xdr:rowOff>58134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D250D82-63A7-4412-BAB1-B9F28FAA4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00975" y="4248150"/>
          <a:ext cx="5364606" cy="4191984"/>
        </a:xfrm>
        <a:prstGeom prst="rect">
          <a:avLst/>
        </a:prstGeom>
      </xdr:spPr>
    </xdr:pic>
    <xdr:clientData/>
  </xdr:twoCellAnchor>
  <xdr:twoCellAnchor editAs="oneCell">
    <xdr:from>
      <xdr:col>22</xdr:col>
      <xdr:colOff>104775</xdr:colOff>
      <xdr:row>22</xdr:row>
      <xdr:rowOff>95250</xdr:rowOff>
    </xdr:from>
    <xdr:to>
      <xdr:col>28</xdr:col>
      <xdr:colOff>295812</xdr:colOff>
      <xdr:row>40</xdr:row>
      <xdr:rowOff>95729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DA5568A-95D6-1485-EA89-74D501209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5975" y="4286250"/>
          <a:ext cx="3848637" cy="34294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8</xdr:col>
      <xdr:colOff>448994</xdr:colOff>
      <xdr:row>23</xdr:row>
      <xdr:rowOff>114301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AFDC19-F9F9-F87B-DA5C-8090C9F67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"/>
          <a:ext cx="5325794" cy="4495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28575</xdr:rowOff>
    </xdr:from>
    <xdr:to>
      <xdr:col>11</xdr:col>
      <xdr:colOff>57150</xdr:colOff>
      <xdr:row>41</xdr:row>
      <xdr:rowOff>176440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CA9292-0C25-47CC-AE7F-9C45875FC78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9327"/>
        <a:stretch>
          <a:fillRect/>
        </a:stretch>
      </xdr:blipFill>
      <xdr:spPr bwMode="auto">
        <a:xfrm>
          <a:off x="0" y="4410075"/>
          <a:ext cx="6762750" cy="3576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295274</xdr:colOff>
      <xdr:row>22</xdr:row>
      <xdr:rowOff>78203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E296B2-327B-819D-A61F-C1601FA04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52874" cy="426920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12</xdr:col>
      <xdr:colOff>361975</xdr:colOff>
      <xdr:row>19</xdr:row>
      <xdr:rowOff>76227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7AFE31C-56B1-ADD9-A437-0FE4A980D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67200" y="0"/>
          <a:ext cx="3409975" cy="3695727"/>
        </a:xfrm>
        <a:prstGeom prst="rect">
          <a:avLst/>
        </a:prstGeom>
      </xdr:spPr>
    </xdr:pic>
    <xdr:clientData/>
  </xdr:twoCellAnchor>
  <xdr:twoCellAnchor editAs="oneCell">
    <xdr:from>
      <xdr:col>12</xdr:col>
      <xdr:colOff>257175</xdr:colOff>
      <xdr:row>0</xdr:row>
      <xdr:rowOff>0</xdr:rowOff>
    </xdr:from>
    <xdr:to>
      <xdr:col>22</xdr:col>
      <xdr:colOff>9525</xdr:colOff>
      <xdr:row>21</xdr:row>
      <xdr:rowOff>180280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D86B0AC-F463-1961-CB11-006D99725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72375" y="0"/>
          <a:ext cx="5848350" cy="4180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21</xdr:col>
      <xdr:colOff>290326</xdr:colOff>
      <xdr:row>37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DC6BC78-7876-601F-E455-1918807A1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572000"/>
          <a:ext cx="13091926" cy="2628900"/>
        </a:xfrm>
        <a:prstGeom prst="rect">
          <a:avLst/>
        </a:prstGeom>
      </xdr:spPr>
    </xdr:pic>
    <xdr:clientData/>
  </xdr:twoCellAnchor>
  <xdr:twoCellAnchor editAs="oneCell">
    <xdr:from>
      <xdr:col>22</xdr:col>
      <xdr:colOff>190499</xdr:colOff>
      <xdr:row>0</xdr:row>
      <xdr:rowOff>38099</xdr:rowOff>
    </xdr:from>
    <xdr:to>
      <xdr:col>28</xdr:col>
      <xdr:colOff>485774</xdr:colOff>
      <xdr:row>14</xdr:row>
      <xdr:rowOff>42477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A6CD195-1C1C-0569-9FC2-79E4DF9BE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01699" y="38099"/>
          <a:ext cx="3952875" cy="267137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513003</xdr:colOff>
      <xdr:row>12</xdr:row>
      <xdr:rowOff>28575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6C9783-DF6D-ADAC-250B-EA3CE8C9F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170603" cy="23145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19</xdr:col>
      <xdr:colOff>476250</xdr:colOff>
      <xdr:row>40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6E0F00-E3EA-6BD2-C3CB-0217216C8E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0"/>
          <a:ext cx="7791450" cy="779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dp/B00QEUFRXK?psc=1&amp;smid=AWQBCGWISS7BL" TargetMode="External"/><Relationship Id="rId2" Type="http://schemas.openxmlformats.org/officeDocument/2006/relationships/hyperlink" Target="https://www.amazon.com/ANWOK-SFU1204-Machining-BallScrew-Supportsfor/dp/B09BR414X7/?th=1" TargetMode="External"/><Relationship Id="rId1" Type="http://schemas.openxmlformats.org/officeDocument/2006/relationships/hyperlink" Target="https://www.amazon.com/HiLetgo-KW12-3-Roller-Switch-Normally/dp/B07X142VGC" TargetMode="External"/><Relationship Id="rId5" Type="http://schemas.openxmlformats.org/officeDocument/2006/relationships/hyperlink" Target="https://www.amazon.com/dp/B0BZYX7Z4Z" TargetMode="External"/><Relationship Id="rId4" Type="http://schemas.openxmlformats.org/officeDocument/2006/relationships/hyperlink" Target="https://www.omc-stepperonline.com/nema-17-stepper-motor-bipolar-l-48mm-w-gear-ratio-19-1-planetary-gearbox-17hs19-1684s-pg19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omc-stepperonline.com/nema-17-stepper-motor-bipolar-l-48mm-w-gear-ratio-19-1-planetary-gearbox-17hs19-1684s-pg19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63387-77C3-40B2-8FA1-237173BA8227}">
  <dimension ref="C4:R19"/>
  <sheetViews>
    <sheetView zoomScale="124" zoomScaleNormal="124" workbookViewId="0">
      <selection activeCell="H18" sqref="H18"/>
    </sheetView>
  </sheetViews>
  <sheetFormatPr defaultRowHeight="15" x14ac:dyDescent="0.25"/>
  <cols>
    <col min="3" max="3" width="35.7109375" customWidth="1"/>
  </cols>
  <sheetData>
    <row r="4" spans="3:18" x14ac:dyDescent="0.25">
      <c r="D4" t="s">
        <v>11</v>
      </c>
      <c r="E4" t="s">
        <v>10</v>
      </c>
      <c r="F4" t="s">
        <v>12</v>
      </c>
      <c r="G4" t="s">
        <v>78</v>
      </c>
    </row>
    <row r="5" spans="3:18" x14ac:dyDescent="0.25">
      <c r="C5" t="s">
        <v>76</v>
      </c>
      <c r="D5">
        <v>35.57</v>
      </c>
      <c r="E5">
        <v>1</v>
      </c>
      <c r="F5">
        <f>E5*D5</f>
        <v>35.57</v>
      </c>
      <c r="I5" s="3" t="s">
        <v>77</v>
      </c>
    </row>
    <row r="6" spans="3:18" x14ac:dyDescent="0.25">
      <c r="C6" t="s">
        <v>33</v>
      </c>
      <c r="D6">
        <v>40.43</v>
      </c>
      <c r="E6">
        <v>2</v>
      </c>
      <c r="F6">
        <f>E6*D6</f>
        <v>80.86</v>
      </c>
      <c r="G6" t="s">
        <v>79</v>
      </c>
      <c r="I6" s="3" t="s">
        <v>18</v>
      </c>
      <c r="R6" s="3" t="s">
        <v>43</v>
      </c>
    </row>
    <row r="7" spans="3:18" x14ac:dyDescent="0.25">
      <c r="C7" t="s">
        <v>80</v>
      </c>
      <c r="D7">
        <v>9.89</v>
      </c>
      <c r="E7">
        <v>2</v>
      </c>
      <c r="F7">
        <f>E7*D7</f>
        <v>19.78</v>
      </c>
      <c r="G7" t="s">
        <v>79</v>
      </c>
      <c r="I7" s="3" t="s">
        <v>81</v>
      </c>
      <c r="R7" s="3"/>
    </row>
    <row r="8" spans="3:18" x14ac:dyDescent="0.25">
      <c r="C8" t="s">
        <v>32</v>
      </c>
      <c r="D8">
        <v>35.020000000000003</v>
      </c>
      <c r="E8">
        <v>1</v>
      </c>
      <c r="F8">
        <f>E8*D8</f>
        <v>35.020000000000003</v>
      </c>
      <c r="I8" s="3" t="s">
        <v>31</v>
      </c>
    </row>
    <row r="9" spans="3:18" x14ac:dyDescent="0.25">
      <c r="C9" t="s">
        <v>16</v>
      </c>
      <c r="D9">
        <v>5.99</v>
      </c>
      <c r="E9">
        <v>1</v>
      </c>
      <c r="F9">
        <f>E9*D9</f>
        <v>5.99</v>
      </c>
      <c r="I9" s="3" t="s">
        <v>15</v>
      </c>
    </row>
    <row r="19" spans="5:6" x14ac:dyDescent="0.25">
      <c r="E19" t="s">
        <v>13</v>
      </c>
      <c r="F19">
        <f>SUM(F5:F18)</f>
        <v>177.22000000000003</v>
      </c>
    </row>
  </sheetData>
  <hyperlinks>
    <hyperlink ref="I9" r:id="rId1" xr:uid="{61F1A763-C517-4BF8-9889-F49E520FCE17}"/>
    <hyperlink ref="I8" r:id="rId2" xr:uid="{CB4419F2-72C9-4C94-91D9-87A0AA87BCB5}"/>
    <hyperlink ref="I6" r:id="rId3" xr:uid="{FDA0679E-F657-4EBB-8E29-6BE76788E24E}"/>
    <hyperlink ref="R6" r:id="rId4" xr:uid="{DE3FC601-CC53-4A11-B831-B13F95877B4B}"/>
    <hyperlink ref="I7" r:id="rId5" xr:uid="{1F75F018-B335-4D5B-A956-84207CFE837B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F7C4F9-4A6E-49D3-89BB-464B13C557F2}">
  <dimension ref="B2:P56"/>
  <sheetViews>
    <sheetView showGridLines="0" tabSelected="1" zoomScaleNormal="100" workbookViewId="0"/>
  </sheetViews>
  <sheetFormatPr defaultRowHeight="15" x14ac:dyDescent="0.25"/>
  <cols>
    <col min="2" max="2" width="29.28515625" customWidth="1"/>
    <col min="3" max="4" width="11" customWidth="1"/>
    <col min="5" max="6" width="9.140625" customWidth="1"/>
  </cols>
  <sheetData>
    <row r="2" spans="2:9" x14ac:dyDescent="0.25">
      <c r="I2" s="3" t="s">
        <v>43</v>
      </c>
    </row>
    <row r="3" spans="2:9" x14ac:dyDescent="0.25">
      <c r="B3" s="25" t="s">
        <v>30</v>
      </c>
      <c r="C3" s="22"/>
      <c r="D3" s="22"/>
    </row>
    <row r="4" spans="2:9" x14ac:dyDescent="0.25">
      <c r="B4" s="22" t="s">
        <v>19</v>
      </c>
      <c r="C4" s="13">
        <f>4/1000</f>
        <v>4.0000000000000001E-3</v>
      </c>
      <c r="D4" s="23" t="s">
        <v>1</v>
      </c>
    </row>
    <row r="5" spans="2:9" x14ac:dyDescent="0.25">
      <c r="B5" s="22" t="s">
        <v>44</v>
      </c>
      <c r="C5" s="14">
        <f>0.8</f>
        <v>0.8</v>
      </c>
      <c r="D5" s="24" t="s">
        <v>7</v>
      </c>
    </row>
    <row r="6" spans="2:9" x14ac:dyDescent="0.25">
      <c r="B6" s="22" t="s">
        <v>45</v>
      </c>
      <c r="C6" s="14">
        <v>0.9</v>
      </c>
      <c r="D6" s="24" t="s">
        <v>7</v>
      </c>
    </row>
    <row r="7" spans="2:9" x14ac:dyDescent="0.25">
      <c r="B7" s="22" t="s">
        <v>34</v>
      </c>
      <c r="C7" s="14">
        <v>200</v>
      </c>
      <c r="D7" s="24" t="s">
        <v>61</v>
      </c>
    </row>
    <row r="8" spans="2:9" x14ac:dyDescent="0.25">
      <c r="B8" s="22" t="s">
        <v>17</v>
      </c>
      <c r="C8" s="13">
        <v>600</v>
      </c>
      <c r="D8" s="23" t="s">
        <v>2</v>
      </c>
    </row>
    <row r="9" spans="2:9" x14ac:dyDescent="0.25">
      <c r="B9" s="22" t="s">
        <v>14</v>
      </c>
      <c r="C9" s="13">
        <v>19.202999999999999</v>
      </c>
      <c r="D9" s="24" t="s">
        <v>7</v>
      </c>
    </row>
    <row r="10" spans="2:9" x14ac:dyDescent="0.25">
      <c r="B10" s="22" t="s">
        <v>8</v>
      </c>
      <c r="C10" s="15">
        <f>C8/60*C4*1000/C9</f>
        <v>2.083007863354684</v>
      </c>
      <c r="D10" s="23" t="s">
        <v>9</v>
      </c>
    </row>
    <row r="12" spans="2:9" x14ac:dyDescent="0.25">
      <c r="B12" s="25" t="s">
        <v>47</v>
      </c>
      <c r="C12" s="25" t="s">
        <v>48</v>
      </c>
      <c r="D12" s="25" t="s">
        <v>49</v>
      </c>
      <c r="E12" s="22"/>
    </row>
    <row r="13" spans="2:9" x14ac:dyDescent="0.25">
      <c r="B13" s="22" t="s">
        <v>50</v>
      </c>
      <c r="C13" s="16">
        <v>0.52</v>
      </c>
      <c r="D13" s="16"/>
      <c r="E13" s="23" t="s">
        <v>0</v>
      </c>
    </row>
    <row r="14" spans="2:9" x14ac:dyDescent="0.25">
      <c r="B14" s="22" t="s">
        <v>46</v>
      </c>
      <c r="C14" s="17">
        <f>C13*C9*C5*C6</f>
        <v>7.1896032000000005</v>
      </c>
      <c r="D14" s="17"/>
      <c r="E14" s="23" t="s">
        <v>0</v>
      </c>
    </row>
    <row r="15" spans="2:9" x14ac:dyDescent="0.25">
      <c r="B15" s="22" t="s">
        <v>6</v>
      </c>
      <c r="C15" s="18">
        <f>C14*2*PI()*$C$5/$C$4</f>
        <v>9034.7218381382681</v>
      </c>
      <c r="D15" s="18">
        <f>C15*2</f>
        <v>18069.443676276536</v>
      </c>
      <c r="E15" s="23" t="s">
        <v>3</v>
      </c>
      <c r="G15" s="8"/>
    </row>
    <row r="16" spans="2:9" x14ac:dyDescent="0.25">
      <c r="B16" s="22"/>
      <c r="C16" s="18">
        <f>C15/9.81</f>
        <v>920.97062570216792</v>
      </c>
      <c r="D16" s="18">
        <f>C16*2</f>
        <v>1841.9412514043358</v>
      </c>
      <c r="E16" s="23" t="s">
        <v>4</v>
      </c>
    </row>
    <row r="17" spans="2:6" x14ac:dyDescent="0.25">
      <c r="B17" s="22"/>
      <c r="C17" s="18">
        <f>C16*2.205</f>
        <v>2030.7402296732803</v>
      </c>
      <c r="D17" s="18">
        <f>C17*2</f>
        <v>4061.4804593465606</v>
      </c>
      <c r="E17" s="23" t="s">
        <v>5</v>
      </c>
    </row>
    <row r="19" spans="2:6" x14ac:dyDescent="0.25">
      <c r="B19" s="25" t="s">
        <v>69</v>
      </c>
      <c r="C19" s="22"/>
      <c r="D19" s="22"/>
    </row>
    <row r="20" spans="2:6" x14ac:dyDescent="0.25">
      <c r="B20" s="22" t="s">
        <v>51</v>
      </c>
      <c r="C20" s="19">
        <f>C4/C7/C9*1000</f>
        <v>1.0415039316773423E-3</v>
      </c>
      <c r="D20" s="23" t="s">
        <v>35</v>
      </c>
    </row>
    <row r="21" spans="2:6" x14ac:dyDescent="0.25">
      <c r="B21" s="22" t="s">
        <v>52</v>
      </c>
      <c r="C21" s="13">
        <v>100</v>
      </c>
      <c r="D21" s="23" t="s">
        <v>35</v>
      </c>
    </row>
    <row r="22" spans="2:6" x14ac:dyDescent="0.25">
      <c r="B22" s="22" t="s">
        <v>53</v>
      </c>
      <c r="C22" s="20">
        <f>C20/C21*1000000</f>
        <v>10.415039316773424</v>
      </c>
      <c r="D22" s="24" t="s">
        <v>60</v>
      </c>
    </row>
    <row r="23" spans="2:6" x14ac:dyDescent="0.25">
      <c r="C23" s="6"/>
      <c r="D23" s="1"/>
    </row>
    <row r="24" spans="2:6" x14ac:dyDescent="0.25">
      <c r="B24" s="25" t="s">
        <v>68</v>
      </c>
      <c r="C24" s="22"/>
      <c r="D24" s="22"/>
    </row>
    <row r="25" spans="2:6" x14ac:dyDescent="0.25">
      <c r="B25" s="22" t="s">
        <v>36</v>
      </c>
      <c r="C25" s="21">
        <v>2100000000</v>
      </c>
      <c r="D25" s="23" t="s">
        <v>21</v>
      </c>
    </row>
    <row r="26" spans="2:6" x14ac:dyDescent="0.25">
      <c r="B26" s="22" t="s">
        <v>38</v>
      </c>
      <c r="C26" s="21">
        <v>50000000</v>
      </c>
      <c r="D26" s="23" t="s">
        <v>21</v>
      </c>
    </row>
    <row r="27" spans="2:6" x14ac:dyDescent="0.25">
      <c r="B27" s="22" t="s">
        <v>37</v>
      </c>
      <c r="C27" s="21">
        <v>60000000</v>
      </c>
      <c r="D27" s="23" t="s">
        <v>21</v>
      </c>
    </row>
    <row r="28" spans="2:6" x14ac:dyDescent="0.25">
      <c r="B28" s="22" t="s">
        <v>39</v>
      </c>
      <c r="C28" s="20">
        <f>C15*2/C26*1000*1000</f>
        <v>361.38887352553076</v>
      </c>
      <c r="D28" s="23" t="s">
        <v>41</v>
      </c>
      <c r="F28" s="9"/>
    </row>
    <row r="29" spans="2:6" x14ac:dyDescent="0.25">
      <c r="B29" s="22" t="s">
        <v>40</v>
      </c>
      <c r="C29" s="20">
        <f>C15*2/C27*1000*1000</f>
        <v>301.15739460460895</v>
      </c>
      <c r="D29" s="23" t="s">
        <v>41</v>
      </c>
    </row>
    <row r="30" spans="2:6" x14ac:dyDescent="0.25">
      <c r="B30" s="22" t="s">
        <v>54</v>
      </c>
      <c r="C30" s="18">
        <f>C26/C25*1000000</f>
        <v>23809.523809523809</v>
      </c>
      <c r="D30" s="24" t="s">
        <v>59</v>
      </c>
    </row>
    <row r="31" spans="2:6" x14ac:dyDescent="0.25">
      <c r="B31" s="22" t="s">
        <v>55</v>
      </c>
      <c r="C31" s="18">
        <f>C30/C22</f>
        <v>2286.071428571428</v>
      </c>
      <c r="D31" s="23" t="s">
        <v>58</v>
      </c>
    </row>
    <row r="32" spans="2:6" x14ac:dyDescent="0.25">
      <c r="B32" s="22" t="s">
        <v>56</v>
      </c>
      <c r="C32" s="13">
        <v>100</v>
      </c>
      <c r="D32" s="23" t="s">
        <v>57</v>
      </c>
    </row>
    <row r="33" spans="2:16" x14ac:dyDescent="0.25">
      <c r="B33" s="22" t="s">
        <v>82</v>
      </c>
      <c r="C33" s="18">
        <f>C31/C32</f>
        <v>22.86071428571428</v>
      </c>
      <c r="D33" s="23" t="s">
        <v>62</v>
      </c>
    </row>
    <row r="38" spans="2:16" x14ac:dyDescent="0.25">
      <c r="B38" s="7" t="s">
        <v>70</v>
      </c>
    </row>
    <row r="40" spans="2:16" x14ac:dyDescent="0.25">
      <c r="B40" t="s">
        <v>20</v>
      </c>
      <c r="C40" s="5">
        <v>200000000000</v>
      </c>
      <c r="D40" t="s">
        <v>21</v>
      </c>
      <c r="L40" t="s">
        <v>65</v>
      </c>
      <c r="P40" t="s">
        <v>66</v>
      </c>
    </row>
    <row r="41" spans="2:16" x14ac:dyDescent="0.25">
      <c r="B41" t="s">
        <v>22</v>
      </c>
      <c r="C41">
        <v>0.25</v>
      </c>
      <c r="D41" t="s">
        <v>1</v>
      </c>
      <c r="E41" t="s">
        <v>42</v>
      </c>
    </row>
    <row r="42" spans="2:16" x14ac:dyDescent="0.25">
      <c r="B42" t="s">
        <v>23</v>
      </c>
      <c r="C42">
        <f>8/1000</f>
        <v>8.0000000000000002E-3</v>
      </c>
      <c r="D42" t="s">
        <v>1</v>
      </c>
    </row>
    <row r="43" spans="2:16" x14ac:dyDescent="0.25">
      <c r="B43" t="s">
        <v>24</v>
      </c>
      <c r="C43">
        <f>PI()/4*(C42/2)^4</f>
        <v>2.0106192982974676E-10</v>
      </c>
      <c r="D43" t="s">
        <v>25</v>
      </c>
    </row>
    <row r="44" spans="2:16" x14ac:dyDescent="0.25">
      <c r="B44" t="s">
        <v>63</v>
      </c>
      <c r="C44">
        <f>PI()/4*C42^2</f>
        <v>5.0265482457436686E-5</v>
      </c>
      <c r="D44" t="s">
        <v>64</v>
      </c>
    </row>
    <row r="45" spans="2:16" x14ac:dyDescent="0.25">
      <c r="B45" t="s">
        <v>67</v>
      </c>
      <c r="C45" s="10">
        <f>C15/C44</f>
        <v>179740080.00000003</v>
      </c>
      <c r="D45" t="s">
        <v>21</v>
      </c>
    </row>
    <row r="46" spans="2:16" x14ac:dyDescent="0.25">
      <c r="B46" t="s">
        <v>71</v>
      </c>
      <c r="C46" s="10">
        <v>400000000</v>
      </c>
      <c r="D46" t="s">
        <v>21</v>
      </c>
    </row>
    <row r="47" spans="2:16" x14ac:dyDescent="0.25">
      <c r="B47" t="s">
        <v>72</v>
      </c>
      <c r="C47" s="10">
        <v>400000000</v>
      </c>
      <c r="D47" t="s">
        <v>21</v>
      </c>
    </row>
    <row r="49" spans="2:8" x14ac:dyDescent="0.25">
      <c r="C49" t="s">
        <v>27</v>
      </c>
      <c r="D49" t="s">
        <v>28</v>
      </c>
      <c r="H49" s="4"/>
    </row>
    <row r="50" spans="2:8" x14ac:dyDescent="0.25">
      <c r="B50" t="s">
        <v>26</v>
      </c>
      <c r="C50">
        <v>0.5</v>
      </c>
      <c r="D50">
        <v>1</v>
      </c>
    </row>
    <row r="51" spans="2:8" x14ac:dyDescent="0.25">
      <c r="B51" t="s">
        <v>29</v>
      </c>
      <c r="C51" s="2">
        <f>PI()^2*$C$40*$C$43/(C50*$C$41)^2</f>
        <v>25400.341856501611</v>
      </c>
      <c r="D51" s="2">
        <f>PI()^2*$C$40*$C$43/(D50*$C$41)^2</f>
        <v>6350.0854641254027</v>
      </c>
      <c r="E51" t="s">
        <v>3</v>
      </c>
    </row>
    <row r="54" spans="2:8" x14ac:dyDescent="0.25">
      <c r="B54" s="11" t="s">
        <v>73</v>
      </c>
      <c r="C54" s="12">
        <f>C46/C45-1</f>
        <v>1.225435751447312</v>
      </c>
    </row>
    <row r="55" spans="2:8" x14ac:dyDescent="0.25">
      <c r="B55" s="11" t="s">
        <v>74</v>
      </c>
      <c r="C55" s="12">
        <f>C47/C45-1</f>
        <v>1.225435751447312</v>
      </c>
    </row>
    <row r="56" spans="2:8" x14ac:dyDescent="0.25">
      <c r="B56" s="11" t="s">
        <v>75</v>
      </c>
      <c r="C56" s="12">
        <f>34000/C15-1</f>
        <v>2.7632591914978293</v>
      </c>
    </row>
  </sheetData>
  <mergeCells count="2">
    <mergeCell ref="C13:D13"/>
    <mergeCell ref="C14:D14"/>
  </mergeCells>
  <hyperlinks>
    <hyperlink ref="I2" r:id="rId1" xr:uid="{0626124E-510E-4ABA-9829-4837F5E0E5D1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FB6BF-7DF0-4811-ACB8-80A3E494E2B2}">
  <dimension ref="A1"/>
  <sheetViews>
    <sheetView workbookViewId="0">
      <selection activeCell="T13" sqref="T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3D8DBE-B59E-45E0-ACC4-81B1459A9643}">
  <dimension ref="A1"/>
  <sheetViews>
    <sheetView zoomScaleNormal="100" workbookViewId="0">
      <selection activeCell="Q50" sqref="Q5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3978D-40B5-4D78-9753-2C887EB4B58C}">
  <dimension ref="A1"/>
  <sheetViews>
    <sheetView showGridLines="0" zoomScaleNormal="100" workbookViewId="0">
      <selection activeCell="Z21" sqref="Z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957DA-D15C-4636-962D-6FC55143B58A}">
  <dimension ref="A1"/>
  <sheetViews>
    <sheetView workbookViewId="0">
      <selection activeCell="E20" sqref="E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3FC179-AEBC-419A-A9C1-E76B3469F9BC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BOM</vt:lpstr>
      <vt:lpstr>CALCS</vt:lpstr>
      <vt:lpstr>NEMA17</vt:lpstr>
      <vt:lpstr>SFU1204+Hardware</vt:lpstr>
      <vt:lpstr>Load cell</vt:lpstr>
      <vt:lpstr>Limit switches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Tomek Poryzala</dc:creator>
  <cp:lastModifiedBy>Tomek Poryzala</cp:lastModifiedBy>
  <dcterms:created xsi:type="dcterms:W3CDTF">2025-11-22T05:46:50Z</dcterms:created>
  <dcterms:modified xsi:type="dcterms:W3CDTF">2025-12-07T23:47:11Z</dcterms:modified>
</cp:coreProperties>
</file>